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485" activeTab="0"/>
  </bookViews>
  <sheets>
    <sheet name="List1" sheetId="1" r:id="rId1"/>
    <sheet name="List2" sheetId="2" r:id="rId2"/>
    <sheet name="List3" sheetId="3" r:id="rId3"/>
  </sheets>
  <definedNames>
    <definedName name="_xlfn.IFERROR" hidden="1">#NAME?</definedName>
    <definedName name="adt">'List1'!$N$5</definedName>
    <definedName name="ano">'List1'!$P$2</definedName>
    <definedName name="ast_60">'List1'!$N$3</definedName>
    <definedName name="ast_80">'List1'!$N$4</definedName>
    <definedName name="ne">'List1'!$P$3</definedName>
    <definedName name="typ_tunelu">'List1'!$F$7:$G$8</definedName>
  </definedNames>
  <calcPr fullCalcOnLoad="1"/>
</workbook>
</file>

<file path=xl/sharedStrings.xml><?xml version="1.0" encoding="utf-8"?>
<sst xmlns="http://schemas.openxmlformats.org/spreadsheetml/2006/main" count="101" uniqueCount="67">
  <si>
    <t>Typ tunelu</t>
  </si>
  <si>
    <t>typ tunelu</t>
  </si>
  <si>
    <t>AST 60 Super</t>
  </si>
  <si>
    <t>AST 80 Maxi</t>
  </si>
  <si>
    <t>ADT</t>
  </si>
  <si>
    <t>vyberte šířku</t>
  </si>
  <si>
    <t>vyberte typ tunelu</t>
  </si>
  <si>
    <t>Požadované rozměry</t>
  </si>
  <si>
    <t>AST 60 a 80</t>
  </si>
  <si>
    <t>šířka X = 8,20 m; výška Y = 5,00 m, výška K = 3,15 m</t>
  </si>
  <si>
    <t>šířka X = 9,20 m; výška Y = 6,20 m, výška K = 3,70 m</t>
  </si>
  <si>
    <t>šířka X = 10,20 m; výška Y = 6,60 m, výška K = 3,30 m</t>
  </si>
  <si>
    <t>šířka X = 12,00 m; výška Y = 7,00 m, výška K = 3,70 m</t>
  </si>
  <si>
    <t>šířka X = 8,20 m; výška Y = 5,00 m, výška K = 2,6 m</t>
  </si>
  <si>
    <t>šířka X = 9,20 m; výška Y = 6,20 m, výška K = 2,90 m</t>
  </si>
  <si>
    <t>šířka X = 10,20 m; výška Y = 6,60 m, výška K = 2,60 m</t>
  </si>
  <si>
    <t>šířka X = 12,00 m; výška Y = 7,00 m, výška K = 2,70 m</t>
  </si>
  <si>
    <t>Požadovaná délka</t>
  </si>
  <si>
    <t>Nutné zaokrouhlení</t>
  </si>
  <si>
    <t>m</t>
  </si>
  <si>
    <t>Počet modulů</t>
  </si>
  <si>
    <t>ks</t>
  </si>
  <si>
    <t xml:space="preserve">1. </t>
  </si>
  <si>
    <t>Cena tunelu</t>
  </si>
  <si>
    <t>cena tunelu</t>
  </si>
  <si>
    <t>šířka</t>
  </si>
  <si>
    <t>€</t>
  </si>
  <si>
    <t xml:space="preserve">2. </t>
  </si>
  <si>
    <t>Přední štít</t>
  </si>
  <si>
    <t>ano</t>
  </si>
  <si>
    <t>ne</t>
  </si>
  <si>
    <t>vyberte z možností</t>
  </si>
  <si>
    <t>3.</t>
  </si>
  <si>
    <t>Zadní štít</t>
  </si>
  <si>
    <t>zadní štít</t>
  </si>
  <si>
    <t>-</t>
  </si>
  <si>
    <t>POZOR! Aktualizujte rozměry!</t>
  </si>
  <si>
    <t>přední štít</t>
  </si>
  <si>
    <t>4.</t>
  </si>
  <si>
    <t>zadní vyztužená stěna</t>
  </si>
  <si>
    <t>Zadní vyztužená stěna</t>
  </si>
  <si>
    <t>posuvné dveře se zavíráním</t>
  </si>
  <si>
    <t>5.</t>
  </si>
  <si>
    <t>Posuvné dveře se zavíráním</t>
  </si>
  <si>
    <t>6.</t>
  </si>
  <si>
    <t>Doprava</t>
  </si>
  <si>
    <t>7.</t>
  </si>
  <si>
    <t>Montáž</t>
  </si>
  <si>
    <t>pouze šéfmontér (pokud zákazník dodá dva pomocné monéry)</t>
  </si>
  <si>
    <t>kompletní montáž</t>
  </si>
  <si>
    <t>8.</t>
  </si>
  <si>
    <t>Mechanizace</t>
  </si>
  <si>
    <t>vysokozdvižná plošina, bagr se sbíječkou, manipulátor</t>
  </si>
  <si>
    <t>Kalkulace nabídky tunelů</t>
  </si>
  <si>
    <t>Zákazník</t>
  </si>
  <si>
    <t>Datum zpracování</t>
  </si>
  <si>
    <t>zákazník si zajistí sám</t>
  </si>
  <si>
    <t>Cena celkem bez DPH</t>
  </si>
  <si>
    <t>Kalkulace ceny</t>
  </si>
  <si>
    <t>Cena celkem s DPH</t>
  </si>
  <si>
    <t>šířka X = 6,20 m; výška Y = 4,00 m, výška K = 3,00 m</t>
  </si>
  <si>
    <t>Kč/m2</t>
  </si>
  <si>
    <t>AST 60 - 6,2m</t>
  </si>
  <si>
    <t>8,2 a 9,2</t>
  </si>
  <si>
    <t>doprava</t>
  </si>
  <si>
    <t>15+</t>
  </si>
  <si>
    <t>* ceny jsou pouze orientační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</si>
</sst>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26" fillId="33" borderId="0" xfId="0" applyFont="1" applyFill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0" fillId="16" borderId="0" xfId="0" applyFill="1" applyAlignment="1">
      <alignment/>
    </xf>
    <xf numFmtId="2" fontId="0" fillId="16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42" fillId="16" borderId="0" xfId="0" applyNumberFormat="1" applyFont="1" applyFill="1" applyAlignment="1">
      <alignment horizontal="right"/>
    </xf>
    <xf numFmtId="0" fontId="0" fillId="16" borderId="0" xfId="0" applyFill="1" applyBorder="1" applyAlignment="1">
      <alignment/>
    </xf>
    <xf numFmtId="0" fontId="41" fillId="16" borderId="0" xfId="0" applyFont="1" applyFill="1" applyBorder="1" applyAlignment="1">
      <alignment/>
    </xf>
    <xf numFmtId="0" fontId="0" fillId="16" borderId="0" xfId="0" applyFill="1" applyAlignment="1">
      <alignment horizontal="right"/>
    </xf>
    <xf numFmtId="0" fontId="43" fillId="16" borderId="10" xfId="0" applyFont="1" applyFill="1" applyBorder="1" applyAlignment="1">
      <alignment/>
    </xf>
    <xf numFmtId="43" fontId="0" fillId="16" borderId="0" xfId="34" applyNumberFormat="1" applyFont="1" applyFill="1" applyAlignment="1">
      <alignment/>
    </xf>
    <xf numFmtId="43" fontId="26" fillId="16" borderId="11" xfId="34" applyFont="1" applyFill="1" applyBorder="1" applyAlignment="1">
      <alignment/>
    </xf>
    <xf numFmtId="0" fontId="26" fillId="16" borderId="10" xfId="0" applyFont="1" applyFill="1" applyBorder="1" applyAlignment="1">
      <alignment/>
    </xf>
    <xf numFmtId="164" fontId="0" fillId="16" borderId="0" xfId="0" applyNumberFormat="1" applyFill="1" applyAlignment="1">
      <alignment horizontal="right"/>
    </xf>
    <xf numFmtId="0" fontId="41" fillId="16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0" fillId="9" borderId="0" xfId="0" applyFill="1" applyAlignment="1">
      <alignment/>
    </xf>
    <xf numFmtId="166" fontId="43" fillId="16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26" fillId="35" borderId="0" xfId="0" applyFont="1" applyFill="1" applyAlignment="1">
      <alignment horizontal="center"/>
    </xf>
    <xf numFmtId="0" fontId="26" fillId="16" borderId="0" xfId="0" applyFont="1" applyFill="1" applyAlignment="1">
      <alignment/>
    </xf>
    <xf numFmtId="0" fontId="0" fillId="34" borderId="12" xfId="0" applyFill="1" applyBorder="1" applyAlignment="1">
      <alignment/>
    </xf>
    <xf numFmtId="164" fontId="21" fillId="7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4" fillId="16" borderId="0" xfId="0" applyFont="1" applyFill="1" applyAlignment="1">
      <alignment/>
    </xf>
    <xf numFmtId="0" fontId="45" fillId="16" borderId="0" xfId="0" applyFont="1" applyFill="1" applyAlignment="1">
      <alignment horizontal="center" vertical="center"/>
    </xf>
    <xf numFmtId="14" fontId="0" fillId="16" borderId="0" xfId="0" applyNumberFormat="1" applyFill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1" fillId="7" borderId="13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horizontal="center" vertical="center"/>
      <protection locked="0"/>
    </xf>
    <xf numFmtId="0" fontId="21" fillId="7" borderId="15" xfId="0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0" fontId="21" fillId="7" borderId="18" xfId="0" applyFont="1" applyFill="1" applyBorder="1" applyAlignment="1" applyProtection="1">
      <alignment horizontal="center" vertical="center"/>
      <protection locked="0"/>
    </xf>
    <xf numFmtId="0" fontId="21" fillId="7" borderId="19" xfId="0" applyFont="1" applyFill="1" applyBorder="1" applyAlignment="1" applyProtection="1">
      <alignment horizontal="center" vertical="center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26" fillId="35" borderId="21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1" fillId="7" borderId="13" xfId="0" applyFont="1" applyFill="1" applyBorder="1" applyAlignment="1" applyProtection="1">
      <alignment horizontal="left" vertical="center" wrapText="1"/>
      <protection locked="0"/>
    </xf>
    <xf numFmtId="0" fontId="21" fillId="7" borderId="14" xfId="0" applyFont="1" applyFill="1" applyBorder="1" applyAlignment="1" applyProtection="1">
      <alignment horizontal="left" vertical="center" wrapText="1"/>
      <protection locked="0"/>
    </xf>
    <xf numFmtId="0" fontId="21" fillId="7" borderId="15" xfId="0" applyFont="1" applyFill="1" applyBorder="1" applyAlignment="1" applyProtection="1">
      <alignment horizontal="left" vertical="center" wrapText="1"/>
      <protection locked="0"/>
    </xf>
    <xf numFmtId="0" fontId="21" fillId="7" borderId="18" xfId="0" applyFont="1" applyFill="1" applyBorder="1" applyAlignment="1" applyProtection="1">
      <alignment horizontal="left" vertical="center" wrapText="1"/>
      <protection locked="0"/>
    </xf>
    <xf numFmtId="0" fontId="21" fillId="7" borderId="19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 applyProtection="1">
      <alignment horizontal="left" vertical="center" wrapText="1"/>
      <protection locked="0"/>
    </xf>
    <xf numFmtId="0" fontId="43" fillId="16" borderId="0" xfId="0" applyFont="1" applyFill="1" applyAlignment="1">
      <alignment horizontal="center" vertical="center"/>
    </xf>
    <xf numFmtId="0" fontId="21" fillId="7" borderId="21" xfId="0" applyFont="1" applyFill="1" applyBorder="1" applyAlignment="1" applyProtection="1">
      <alignment horizontal="center"/>
      <protection locked="0"/>
    </xf>
    <xf numFmtId="0" fontId="21" fillId="7" borderId="10" xfId="0" applyFont="1" applyFill="1" applyBorder="1" applyAlignment="1" applyProtection="1">
      <alignment horizontal="center"/>
      <protection locked="0"/>
    </xf>
    <xf numFmtId="0" fontId="21" fillId="7" borderId="11" xfId="0" applyFont="1" applyFill="1" applyBorder="1" applyAlignment="1" applyProtection="1">
      <alignment horizontal="center"/>
      <protection locked="0"/>
    </xf>
    <xf numFmtId="0" fontId="43" fillId="16" borderId="21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13</xdr:row>
      <xdr:rowOff>47625</xdr:rowOff>
    </xdr:from>
    <xdr:to>
      <xdr:col>27</xdr:col>
      <xdr:colOff>457200</xdr:colOff>
      <xdr:row>19</xdr:row>
      <xdr:rowOff>57150</xdr:rowOff>
    </xdr:to>
    <xdr:pic>
      <xdr:nvPicPr>
        <xdr:cNvPr id="1" name="Immagine 25" descr="Disegno_AS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743200"/>
          <a:ext cx="1657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3</xdr:row>
      <xdr:rowOff>38100</xdr:rowOff>
    </xdr:from>
    <xdr:to>
      <xdr:col>27</xdr:col>
      <xdr:colOff>476250</xdr:colOff>
      <xdr:row>9</xdr:row>
      <xdr:rowOff>66675</xdr:rowOff>
    </xdr:to>
    <xdr:pic>
      <xdr:nvPicPr>
        <xdr:cNvPr id="2" name="Immagine 25" descr="Disegno_AS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762000"/>
          <a:ext cx="166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22</xdr:row>
      <xdr:rowOff>19050</xdr:rowOff>
    </xdr:from>
    <xdr:to>
      <xdr:col>27</xdr:col>
      <xdr:colOff>590550</xdr:colOff>
      <xdr:row>28</xdr:row>
      <xdr:rowOff>114300</xdr:rowOff>
    </xdr:to>
    <xdr:pic>
      <xdr:nvPicPr>
        <xdr:cNvPr id="3" name="Immagine 27" descr="Disegno_AD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514850"/>
          <a:ext cx="1800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8"/>
  <sheetViews>
    <sheetView tabSelected="1" zoomScalePageLayoutView="0" workbookViewId="0" topLeftCell="A1">
      <selection activeCell="C19" sqref="C19:D19"/>
    </sheetView>
  </sheetViews>
  <sheetFormatPr defaultColWidth="9.140625" defaultRowHeight="15"/>
  <cols>
    <col min="1" max="1" width="1.1484375" style="7" customWidth="1"/>
    <col min="2" max="2" width="3.421875" style="7" customWidth="1"/>
    <col min="3" max="3" width="13.7109375" style="7" customWidth="1"/>
    <col min="4" max="4" width="5.8515625" style="7" customWidth="1"/>
    <col min="5" max="5" width="4.57421875" style="7" customWidth="1"/>
    <col min="6" max="6" width="15.140625" style="7" customWidth="1"/>
    <col min="7" max="7" width="16.8515625" style="7" customWidth="1"/>
    <col min="8" max="8" width="4.8515625" style="7" customWidth="1"/>
    <col min="9" max="9" width="8.28125" style="7" customWidth="1"/>
    <col min="10" max="10" width="4.140625" style="7" customWidth="1"/>
    <col min="11" max="12" width="2.7109375" style="0" hidden="1" customWidth="1"/>
    <col min="13" max="13" width="13.7109375" style="0" hidden="1" customWidth="1"/>
    <col min="14" max="14" width="14.140625" style="0" hidden="1" customWidth="1"/>
    <col min="15" max="15" width="10.140625" style="0" hidden="1" customWidth="1"/>
    <col min="16" max="16" width="12.140625" style="0" hidden="1" customWidth="1"/>
    <col min="17" max="18" width="9.57421875" style="0" hidden="1" customWidth="1"/>
    <col min="19" max="19" width="10.7109375" style="0" hidden="1" customWidth="1"/>
    <col min="20" max="23" width="9.57421875" style="0" hidden="1" customWidth="1"/>
    <col min="24" max="24" width="10.421875" style="0" hidden="1" customWidth="1"/>
    <col min="25" max="43" width="9.140625" style="7" customWidth="1"/>
  </cols>
  <sheetData>
    <row r="1" spans="2:10" ht="26.25" customHeight="1">
      <c r="B1" s="31" t="s">
        <v>53</v>
      </c>
      <c r="C1" s="31"/>
      <c r="D1" s="31"/>
      <c r="E1" s="31"/>
      <c r="F1" s="31"/>
      <c r="G1" s="31"/>
      <c r="H1" s="31"/>
      <c r="I1" s="31"/>
      <c r="J1" s="31"/>
    </row>
    <row r="2" spans="16:19" ht="15.75" thickBot="1">
      <c r="P2" t="s">
        <v>29</v>
      </c>
      <c r="R2" t="str">
        <f>IF(F10=N14,"ADT",IF(F10=N15,"ADT",IF(F10=N16,"ADT",IF(F10=N17,"ADT",IF(F10=N8,"AST",IF(F10=N9,"AST",IF(F10=N10,"AST",IF(F10=N11,"AST","VYB"))))))))</f>
        <v>VYB</v>
      </c>
      <c r="S2" t="str">
        <f>MID(F8,1,3)</f>
        <v>vyb</v>
      </c>
    </row>
    <row r="3" spans="3:26" ht="15">
      <c r="C3" s="7" t="s">
        <v>54</v>
      </c>
      <c r="D3" s="34"/>
      <c r="E3" s="35"/>
      <c r="F3" s="36"/>
      <c r="G3" s="13" t="s">
        <v>55</v>
      </c>
      <c r="H3" s="32">
        <f ca="1">TODAY()</f>
        <v>43255</v>
      </c>
      <c r="I3" s="32"/>
      <c r="M3" t="s">
        <v>1</v>
      </c>
      <c r="N3" t="s">
        <v>2</v>
      </c>
      <c r="P3" t="s">
        <v>30</v>
      </c>
      <c r="R3" s="3" t="s">
        <v>36</v>
      </c>
      <c r="S3" s="3"/>
      <c r="T3" s="3"/>
      <c r="Z3" s="26" t="s">
        <v>2</v>
      </c>
    </row>
    <row r="4" spans="4:19" ht="15">
      <c r="D4" s="37"/>
      <c r="E4" s="38"/>
      <c r="F4" s="39"/>
      <c r="N4" t="s">
        <v>3</v>
      </c>
      <c r="P4" t="s">
        <v>31</v>
      </c>
      <c r="R4">
        <f>IF(F10=N11,1,0)</f>
        <v>0</v>
      </c>
      <c r="S4">
        <f>IF(F8=N3,1,0)</f>
        <v>0</v>
      </c>
    </row>
    <row r="5" spans="4:19" ht="15">
      <c r="D5" s="37"/>
      <c r="E5" s="38"/>
      <c r="F5" s="39"/>
      <c r="G5" s="11"/>
      <c r="H5" s="33"/>
      <c r="I5" s="33"/>
      <c r="N5" t="s">
        <v>4</v>
      </c>
      <c r="R5">
        <f>R4</f>
        <v>0</v>
      </c>
      <c r="S5">
        <f>S4</f>
        <v>0</v>
      </c>
    </row>
    <row r="6" spans="4:14" ht="15.75" thickBot="1">
      <c r="D6" s="40"/>
      <c r="E6" s="41"/>
      <c r="F6" s="42"/>
      <c r="G6" s="12"/>
      <c r="H6" s="33"/>
      <c r="I6" s="33"/>
      <c r="K6" s="2"/>
      <c r="N6" t="s">
        <v>6</v>
      </c>
    </row>
    <row r="7" spans="13:20" ht="15.75" thickBot="1">
      <c r="M7" s="4" t="s">
        <v>8</v>
      </c>
      <c r="N7" s="1" t="s">
        <v>60</v>
      </c>
      <c r="O7" s="1">
        <v>6.2</v>
      </c>
      <c r="P7" s="20" t="str">
        <f>IF($F$8=$N$3,N7,IF($F$8=$N$4,"",IF($F$8=$N$5,"","vyberte typ tunelu")))</f>
        <v>vyberte typ tunelu</v>
      </c>
      <c r="Q7" s="20"/>
      <c r="R7" s="20"/>
      <c r="S7" s="20"/>
      <c r="T7" s="20"/>
    </row>
    <row r="8" spans="3:20" ht="15.75" thickBot="1">
      <c r="C8" s="7" t="s">
        <v>0</v>
      </c>
      <c r="F8" s="53" t="s">
        <v>6</v>
      </c>
      <c r="G8" s="54"/>
      <c r="K8" s="6">
        <f>F12/1.5</f>
        <v>0</v>
      </c>
      <c r="L8" s="6">
        <f>CEILING(K8,1)</f>
        <v>0</v>
      </c>
      <c r="N8" s="1" t="s">
        <v>9</v>
      </c>
      <c r="O8" s="1">
        <v>8.2</v>
      </c>
      <c r="P8" s="20" t="str">
        <f>IF($F$8=$N$3,N8,IF($F$8=$N$4,N8,IF($F$8=$N$5,N14,"vyberte typ tunelu")))</f>
        <v>vyberte typ tunelu</v>
      </c>
      <c r="Q8" s="20"/>
      <c r="R8" s="20"/>
      <c r="S8" s="20"/>
      <c r="T8" s="20"/>
    </row>
    <row r="9" spans="6:20" ht="15.75" thickBot="1">
      <c r="F9" s="19">
        <f>IF(AND(R5=1,S5=1),R3,IF(AND(OR(N4=F8,N5=F8),F10=N7),R3,IF(S2="vyb","",IF(R2="vyb","",IF(R2=S2,"",R3)))))</f>
      </c>
      <c r="K9" s="6">
        <f>F12/3</f>
        <v>0</v>
      </c>
      <c r="L9" s="6">
        <f>CEILING(K9,1)</f>
        <v>0</v>
      </c>
      <c r="N9" s="1" t="s">
        <v>10</v>
      </c>
      <c r="O9" s="1">
        <v>9.2</v>
      </c>
      <c r="P9" s="20" t="str">
        <f>IF($F$8=$N$3,N9,IF($F$8=$N$4,N9,IF($F$8=$N$5,N15,"vyberte typ tunelu")))</f>
        <v>vyberte typ tunelu</v>
      </c>
      <c r="Q9" s="20"/>
      <c r="R9" s="20"/>
      <c r="S9" s="20"/>
      <c r="T9" s="20"/>
    </row>
    <row r="10" spans="3:20" ht="15.75" thickBot="1">
      <c r="C10" s="7" t="s">
        <v>7</v>
      </c>
      <c r="F10" s="53" t="s">
        <v>5</v>
      </c>
      <c r="G10" s="55"/>
      <c r="H10" s="55"/>
      <c r="I10" s="54"/>
      <c r="N10" s="1" t="s">
        <v>11</v>
      </c>
      <c r="O10" s="1">
        <v>10.2</v>
      </c>
      <c r="P10" s="20" t="str">
        <f>IF($F$8=$N$3,N10,IF($F$8=$N$4,N10,IF($F$8=$N$5,N16,"vyberte typ tunelu")))</f>
        <v>vyberte typ tunelu</v>
      </c>
      <c r="Q10" s="20"/>
      <c r="R10" s="20"/>
      <c r="S10" s="20"/>
      <c r="T10" s="20"/>
    </row>
    <row r="11" spans="14:20" ht="15.75" thickBot="1">
      <c r="N11" s="1" t="s">
        <v>12</v>
      </c>
      <c r="O11" s="1">
        <v>12</v>
      </c>
      <c r="P11" s="20">
        <f>IF($F$8=$N$3,N12,IF($F$8=$N$4,N11,IF($F$8=$N$5,N17,"")))</f>
      </c>
      <c r="Q11" s="20"/>
      <c r="R11" s="20"/>
      <c r="S11" s="20"/>
      <c r="T11" s="20"/>
    </row>
    <row r="12" spans="3:20" ht="15.75" thickBot="1">
      <c r="C12" s="7" t="s">
        <v>17</v>
      </c>
      <c r="F12" s="28"/>
      <c r="G12" s="7" t="s">
        <v>19</v>
      </c>
      <c r="N12" s="1" t="s">
        <v>5</v>
      </c>
      <c r="O12" s="1"/>
      <c r="P12" s="20" t="str">
        <f>IF(P11=N12," ",N12)</f>
        <v>vyberte šířku</v>
      </c>
      <c r="Q12" s="20"/>
      <c r="R12" s="20"/>
      <c r="S12" s="20"/>
      <c r="T12" s="20"/>
    </row>
    <row r="13" spans="3:26" ht="15">
      <c r="C13" s="7" t="s">
        <v>18</v>
      </c>
      <c r="F13" s="18" t="str">
        <f>IF(F8=N3,L8*1.5,IF(F8=N4,L8*1.5,IF(F8=N5,L9*3,"-")))</f>
        <v>-</v>
      </c>
      <c r="G13" s="8" t="s">
        <v>19</v>
      </c>
      <c r="Z13" s="26" t="s">
        <v>3</v>
      </c>
    </row>
    <row r="14" spans="3:15" ht="15">
      <c r="C14" s="7" t="s">
        <v>20</v>
      </c>
      <c r="F14" s="13" t="str">
        <f>IF(F8=N6,"-",(IF(F8=N3,L8,IF(F8=N4,L8,IF(F8=N5,L9,"-"))))+1)</f>
        <v>-</v>
      </c>
      <c r="G14" s="7" t="s">
        <v>21</v>
      </c>
      <c r="M14" s="4" t="s">
        <v>4</v>
      </c>
      <c r="N14" s="1" t="s">
        <v>13</v>
      </c>
      <c r="O14" s="1">
        <v>8.2</v>
      </c>
    </row>
    <row r="15" spans="2:15" ht="15">
      <c r="B15" s="52" t="s">
        <v>58</v>
      </c>
      <c r="C15" s="52"/>
      <c r="D15" s="52"/>
      <c r="N15" s="1" t="s">
        <v>14</v>
      </c>
      <c r="O15" s="1">
        <v>9.2</v>
      </c>
    </row>
    <row r="16" spans="2:15" ht="15">
      <c r="B16" s="52"/>
      <c r="C16" s="52"/>
      <c r="D16" s="52"/>
      <c r="N16" s="1" t="s">
        <v>15</v>
      </c>
      <c r="O16" s="1">
        <v>10.2</v>
      </c>
    </row>
    <row r="17" spans="2:15" ht="16.5" thickBot="1">
      <c r="B17" s="7" t="s">
        <v>22</v>
      </c>
      <c r="C17" s="7" t="s">
        <v>23</v>
      </c>
      <c r="G17" s="10" t="str">
        <f>IF(F10=N7,P23*O23*F13,IF(F8=N3,O20*P20*F13,IF(F8=N4,O21*P21*F13,IF(F8=N5,O22*P22*F13,IF(F8=N6,"-","chyba")))))</f>
        <v>-</v>
      </c>
      <c r="H17" s="7" t="s">
        <v>26</v>
      </c>
      <c r="N17" s="1" t="s">
        <v>16</v>
      </c>
      <c r="O17" s="1">
        <v>12</v>
      </c>
    </row>
    <row r="18" spans="2:22" ht="15.75" thickBot="1">
      <c r="B18" s="7" t="s">
        <v>27</v>
      </c>
      <c r="C18" s="7" t="s">
        <v>28</v>
      </c>
      <c r="G18" s="9"/>
      <c r="Q18" s="43" t="s">
        <v>37</v>
      </c>
      <c r="R18" s="44"/>
      <c r="S18" s="45"/>
      <c r="T18" s="43" t="s">
        <v>34</v>
      </c>
      <c r="U18" s="44"/>
      <c r="V18" s="45"/>
    </row>
    <row r="19" spans="3:22" ht="16.5" thickBot="1">
      <c r="C19" s="53" t="s">
        <v>31</v>
      </c>
      <c r="D19" s="54"/>
      <c r="G19" s="10" t="str">
        <f>IF(P2=C19,IF(P20=O7,Q23,IF(OR(P20=O8,P20=O9),Q20,IF(P20=O10,R20,IF(P20=O11,330,"vyberte šířku tunelu")))),IF(C19=P3,0,IF(C19=P4,"-","chyba")))</f>
        <v>-</v>
      </c>
      <c r="H19" s="7" t="s">
        <v>26</v>
      </c>
      <c r="O19" s="24" t="s">
        <v>61</v>
      </c>
      <c r="P19" s="25" t="s">
        <v>25</v>
      </c>
      <c r="Q19" s="23" t="s">
        <v>63</v>
      </c>
      <c r="R19" s="23">
        <v>10.2</v>
      </c>
      <c r="S19" s="23">
        <v>12</v>
      </c>
      <c r="T19" s="23" t="s">
        <v>63</v>
      </c>
      <c r="U19" s="23">
        <v>10.2</v>
      </c>
      <c r="V19" s="23">
        <v>12</v>
      </c>
    </row>
    <row r="20" spans="2:22" ht="15.75" thickBot="1">
      <c r="B20" s="7" t="s">
        <v>32</v>
      </c>
      <c r="C20" s="7" t="s">
        <v>33</v>
      </c>
      <c r="G20" s="9"/>
      <c r="M20" s="5" t="s">
        <v>24</v>
      </c>
      <c r="N20" t="s">
        <v>2</v>
      </c>
      <c r="O20">
        <f>50+4</f>
        <v>54</v>
      </c>
      <c r="P20" s="27">
        <f>VLOOKUP($F$10,$N$7:$O$17,2,FALSE)</f>
        <v>0</v>
      </c>
      <c r="Q20">
        <v>270</v>
      </c>
      <c r="R20">
        <v>300</v>
      </c>
      <c r="S20" t="s">
        <v>35</v>
      </c>
      <c r="T20">
        <v>315</v>
      </c>
      <c r="U20">
        <v>370</v>
      </c>
      <c r="V20" t="s">
        <v>35</v>
      </c>
    </row>
    <row r="21" spans="3:22" ht="16.5" thickBot="1">
      <c r="C21" s="53" t="s">
        <v>31</v>
      </c>
      <c r="D21" s="54"/>
      <c r="G21" s="10" t="str">
        <f>IF(C21=P2,IF(P20=6.2,R23,IF(P20=8.2,T20,IF(P20=9.2,T20,IF(P20=10.2,IF(F8=N21,U21,IF(F8=N20,U20,IF(F8=N22,U22,"chyba"))),IF(P20=12,IF(N21=F8,V21,IF(N22=F8,V22,"chyba")),"vyberte šířku tunelu"))))),IF(C21=P3,0,IF(C21=P4,"-","vyberte typ tunelu")))</f>
        <v>-</v>
      </c>
      <c r="H21" s="7" t="s">
        <v>26</v>
      </c>
      <c r="N21" t="s">
        <v>3</v>
      </c>
      <c r="O21">
        <f>56+4</f>
        <v>60</v>
      </c>
      <c r="P21" s="27">
        <f>VLOOKUP($F$10,$N$7:$O$17,2,FALSE)</f>
        <v>0</v>
      </c>
      <c r="Q21">
        <v>270</v>
      </c>
      <c r="R21">
        <v>300</v>
      </c>
      <c r="S21">
        <v>330</v>
      </c>
      <c r="T21">
        <v>315</v>
      </c>
      <c r="U21">
        <v>370</v>
      </c>
      <c r="V21">
        <v>430</v>
      </c>
    </row>
    <row r="22" spans="2:26" ht="15.75" thickBot="1">
      <c r="B22" s="7" t="s">
        <v>38</v>
      </c>
      <c r="C22" s="7" t="s">
        <v>40</v>
      </c>
      <c r="G22" s="9"/>
      <c r="N22" t="s">
        <v>4</v>
      </c>
      <c r="O22">
        <v>72</v>
      </c>
      <c r="P22" s="27">
        <f>VLOOKUP($F$10,$N$7:$O$17,2,FALSE)</f>
        <v>0</v>
      </c>
      <c r="Q22">
        <v>270</v>
      </c>
      <c r="R22">
        <v>300</v>
      </c>
      <c r="S22">
        <v>330</v>
      </c>
      <c r="T22">
        <v>315</v>
      </c>
      <c r="U22">
        <v>375</v>
      </c>
      <c r="V22">
        <v>435</v>
      </c>
      <c r="Z22" s="26" t="s">
        <v>4</v>
      </c>
    </row>
    <row r="23" spans="3:20" ht="16.5" thickBot="1">
      <c r="C23" s="53" t="s">
        <v>31</v>
      </c>
      <c r="D23" s="54"/>
      <c r="G23" s="10" t="str">
        <f>IF(C23=P4,"-",IF(C23=ne,0,IF(C23=ano,IF(F10=N7,S23,IF(F8=ast_60,O26,IF(F8=ast_80,O27,IF(F8=adt,O28,"vyberte šířku tunelu")))))))</f>
        <v>-</v>
      </c>
      <c r="H23" s="7" t="s">
        <v>26</v>
      </c>
      <c r="N23" s="21" t="s">
        <v>62</v>
      </c>
      <c r="O23" s="21">
        <f>47+4</f>
        <v>51</v>
      </c>
      <c r="P23" s="27">
        <f>VLOOKUP($F$10,$N$7:$O$17,2,FALSE)</f>
        <v>0</v>
      </c>
      <c r="Q23" s="21">
        <v>220</v>
      </c>
      <c r="R23" s="21">
        <v>240</v>
      </c>
      <c r="S23" s="21">
        <v>880</v>
      </c>
      <c r="T23" s="21">
        <v>1300</v>
      </c>
    </row>
    <row r="24" spans="2:24" ht="15.75" thickBot="1">
      <c r="B24" s="7" t="s">
        <v>42</v>
      </c>
      <c r="C24" s="7" t="s">
        <v>43</v>
      </c>
      <c r="G24" s="9"/>
      <c r="P24" s="43" t="s">
        <v>39</v>
      </c>
      <c r="Q24" s="44"/>
      <c r="R24" s="44"/>
      <c r="S24" s="45"/>
      <c r="U24" s="43" t="s">
        <v>41</v>
      </c>
      <c r="V24" s="44"/>
      <c r="W24" s="44"/>
      <c r="X24" s="45"/>
    </row>
    <row r="25" spans="3:24" ht="16.5" thickBot="1">
      <c r="C25" s="53" t="s">
        <v>31</v>
      </c>
      <c r="D25" s="54"/>
      <c r="G25" s="10" t="str">
        <f>IF(C25=P4,"-",IF(C25=ne,0,IF(C25=ano,IF(F10=N7,T23,IF(F8=ast_60,T26,IF(F8=ast_80,T27,IF(F8=adt,T28,"vyberte šířku tunelu")))))))</f>
        <v>-</v>
      </c>
      <c r="H25" s="7" t="s">
        <v>26</v>
      </c>
      <c r="P25" s="23">
        <v>8.2</v>
      </c>
      <c r="Q25" s="23">
        <v>9.2</v>
      </c>
      <c r="R25" s="23">
        <v>10.2</v>
      </c>
      <c r="S25" s="23">
        <v>12</v>
      </c>
      <c r="U25" s="23">
        <v>8.2</v>
      </c>
      <c r="V25" s="23">
        <v>9.2</v>
      </c>
      <c r="W25" s="23">
        <v>10.2</v>
      </c>
      <c r="X25" s="23">
        <v>12</v>
      </c>
    </row>
    <row r="26" spans="2:24" ht="14.25" customHeight="1" thickBot="1">
      <c r="B26" s="7" t="s">
        <v>44</v>
      </c>
      <c r="C26" s="7" t="s">
        <v>45</v>
      </c>
      <c r="G26" s="10" t="str">
        <f>IF(F8=N6,"-",IF(F12&lt;O37,P37,P38))</f>
        <v>-</v>
      </c>
      <c r="H26" s="7" t="s">
        <v>26</v>
      </c>
      <c r="N26" t="s">
        <v>2</v>
      </c>
      <c r="O26" s="27" t="str">
        <f>IF(P20=$P$25,P26,IF(P20=$Q$25,Q26,IF(P20=$R$25,R26,IF(P20=$S$25,S26,"vyberte šířku tunelu"))))</f>
        <v>vyberte šířku tunelu</v>
      </c>
      <c r="P26">
        <v>1215</v>
      </c>
      <c r="Q26">
        <v>1215</v>
      </c>
      <c r="R26">
        <v>1800</v>
      </c>
      <c r="S26" t="s">
        <v>35</v>
      </c>
      <c r="T26" s="27" t="str">
        <f>IF(P20=$P$25,U26,IF(P20=$Q$25,V26,IF(P20=$R$25,W26,IF(P20=$S$25,X26,"vyberte šířku tunelu"))))</f>
        <v>vyberte šířku tunelu</v>
      </c>
      <c r="U26">
        <v>1890</v>
      </c>
      <c r="V26">
        <v>1890</v>
      </c>
      <c r="W26">
        <v>2080</v>
      </c>
      <c r="X26" t="s">
        <v>35</v>
      </c>
    </row>
    <row r="27" spans="2:24" ht="15.75" thickBot="1">
      <c r="B27" s="7" t="s">
        <v>46</v>
      </c>
      <c r="C27" s="7" t="s">
        <v>47</v>
      </c>
      <c r="G27" s="9"/>
      <c r="N27" t="s">
        <v>3</v>
      </c>
      <c r="O27" s="27" t="str">
        <f>IF(P21=$P$25,P27,IF(P21=$Q$25,Q27,IF(P21=$R$25,R27,IF(P21=$S$25,S27,"vyberte šířku tunelu"))))</f>
        <v>vyberte šířku tunelu</v>
      </c>
      <c r="P27">
        <v>1215</v>
      </c>
      <c r="Q27">
        <v>1215</v>
      </c>
      <c r="R27">
        <v>1800</v>
      </c>
      <c r="S27">
        <v>1920</v>
      </c>
      <c r="T27" s="27" t="str">
        <f>IF(P21=$P$25,U27,IF(P21=$Q$25,V27,IF(P21=$R$25,W27,IF(P21=$S$25,X27,"vyberte šířku tunelu"))))</f>
        <v>vyberte šířku tunelu</v>
      </c>
      <c r="U27">
        <v>1890</v>
      </c>
      <c r="V27">
        <v>1890</v>
      </c>
      <c r="W27">
        <v>2080</v>
      </c>
      <c r="X27">
        <v>2200</v>
      </c>
    </row>
    <row r="28" spans="3:24" ht="16.5" thickBot="1">
      <c r="C28" s="46" t="s">
        <v>31</v>
      </c>
      <c r="D28" s="47"/>
      <c r="E28" s="47"/>
      <c r="F28" s="48"/>
      <c r="G28" s="10" t="str">
        <f>IF(C28=O33,S33,IF(C28=O32,S32,IF(C28=O31,"-","chyba")))</f>
        <v>-</v>
      </c>
      <c r="H28" s="7" t="s">
        <v>26</v>
      </c>
      <c r="N28" t="s">
        <v>4</v>
      </c>
      <c r="O28" s="27" t="str">
        <f>IF(P22=$P$25,P28,IF(P22=$Q$25,Q28,IF(P22=$R$25,R28,IF(P22=$S$25,S28,"vyberte šířku tunelu"))))</f>
        <v>vyberte šířku tunelu</v>
      </c>
      <c r="P28">
        <v>800</v>
      </c>
      <c r="Q28">
        <v>850</v>
      </c>
      <c r="R28">
        <v>900</v>
      </c>
      <c r="S28">
        <v>1000</v>
      </c>
      <c r="T28" s="27" t="str">
        <f>IF(P22=$P$25,U28,IF(P22=$Q$25,V28,IF(P22=$R$25,W28,IF(P22=$S$25,X28,"vyberte šířku tunelu"))))</f>
        <v>vyberte šířku tunelu</v>
      </c>
      <c r="U28">
        <v>1450</v>
      </c>
      <c r="V28">
        <v>1530</v>
      </c>
      <c r="W28">
        <v>1600</v>
      </c>
      <c r="X28">
        <v>1700</v>
      </c>
    </row>
    <row r="29" spans="3:7" ht="15" customHeight="1" thickBot="1">
      <c r="C29" s="49"/>
      <c r="D29" s="50"/>
      <c r="E29" s="50"/>
      <c r="F29" s="51"/>
      <c r="G29" s="9"/>
    </row>
    <row r="30" spans="2:7" ht="15" customHeight="1" thickBot="1">
      <c r="B30" s="7" t="s">
        <v>50</v>
      </c>
      <c r="C30" s="7" t="s">
        <v>51</v>
      </c>
      <c r="G30" s="9"/>
    </row>
    <row r="31" spans="3:15" ht="15.75">
      <c r="C31" s="46" t="s">
        <v>31</v>
      </c>
      <c r="D31" s="47"/>
      <c r="E31" s="47"/>
      <c r="F31" s="48"/>
      <c r="G31" s="10" t="str">
        <f>IF(C31=O34,S34,IF(C31=O35,0,"-"))</f>
        <v>-</v>
      </c>
      <c r="H31" s="7" t="s">
        <v>26</v>
      </c>
      <c r="O31" t="s">
        <v>31</v>
      </c>
    </row>
    <row r="32" spans="3:19" ht="15.75" customHeight="1" thickBot="1">
      <c r="C32" s="49"/>
      <c r="D32" s="50"/>
      <c r="E32" s="50"/>
      <c r="F32" s="51"/>
      <c r="G32" s="9"/>
      <c r="O32" t="s">
        <v>48</v>
      </c>
      <c r="S32" t="str">
        <f>_xlfn.IFERROR(ROUND(IF(F8=adt,40*F13,IF(F8=ast_60,35*F13,IF(F8=ast_80,40*F13,"-"))),0),"-")</f>
        <v>-</v>
      </c>
    </row>
    <row r="33" spans="7:19" ht="15.75" thickBot="1">
      <c r="G33" s="9"/>
      <c r="O33" t="s">
        <v>49</v>
      </c>
      <c r="S33" t="str">
        <f>IF(F8=adt,55*F13,IF(F8=ast_60,50*F13,IF(F8=ast_80,55*F13,"-")))</f>
        <v>-</v>
      </c>
    </row>
    <row r="34" spans="3:19" ht="19.5" thickBot="1">
      <c r="C34" s="56" t="s">
        <v>57</v>
      </c>
      <c r="D34" s="57"/>
      <c r="E34" s="57"/>
      <c r="F34" s="57"/>
      <c r="G34" s="22">
        <f>SUM(G17:G31)</f>
        <v>0</v>
      </c>
      <c r="H34" s="14" t="s">
        <v>26</v>
      </c>
      <c r="O34" t="s">
        <v>52</v>
      </c>
      <c r="S34">
        <v>400</v>
      </c>
    </row>
    <row r="35" ht="15.75" thickBot="1">
      <c r="O35" t="s">
        <v>56</v>
      </c>
    </row>
    <row r="36" spans="3:15" ht="15.75" thickBot="1">
      <c r="C36" s="58" t="s">
        <v>59</v>
      </c>
      <c r="D36" s="59"/>
      <c r="E36" s="59"/>
      <c r="F36" s="59"/>
      <c r="G36" s="16">
        <f>G34*1.21</f>
        <v>0</v>
      </c>
      <c r="H36" s="17" t="s">
        <v>26</v>
      </c>
      <c r="O36" t="s">
        <v>31</v>
      </c>
    </row>
    <row r="37" spans="14:16" ht="15">
      <c r="N37" t="s">
        <v>64</v>
      </c>
      <c r="O37" s="29">
        <v>15</v>
      </c>
      <c r="P37">
        <v>500</v>
      </c>
    </row>
    <row r="38" spans="3:16" ht="15">
      <c r="C38" s="30" t="s">
        <v>66</v>
      </c>
      <c r="G38" s="15"/>
      <c r="O38" s="29" t="s">
        <v>65</v>
      </c>
      <c r="P38">
        <v>600</v>
      </c>
    </row>
  </sheetData>
  <sheetProtection password="F459" sheet="1" selectLockedCells="1"/>
  <mergeCells count="19">
    <mergeCell ref="C34:F34"/>
    <mergeCell ref="C36:F36"/>
    <mergeCell ref="C25:D25"/>
    <mergeCell ref="C23:D23"/>
    <mergeCell ref="C28:F29"/>
    <mergeCell ref="T18:V18"/>
    <mergeCell ref="U24:X24"/>
    <mergeCell ref="C21:D21"/>
    <mergeCell ref="C19:D19"/>
    <mergeCell ref="B1:J1"/>
    <mergeCell ref="H3:I3"/>
    <mergeCell ref="H5:I6"/>
    <mergeCell ref="D3:F6"/>
    <mergeCell ref="Q18:S18"/>
    <mergeCell ref="C31:F32"/>
    <mergeCell ref="B15:D16"/>
    <mergeCell ref="F8:G8"/>
    <mergeCell ref="F10:I10"/>
    <mergeCell ref="P24:S24"/>
  </mergeCells>
  <dataValidations count="5">
    <dataValidation type="list" allowBlank="1" showInputMessage="1" showErrorMessage="1" sqref="C25 C21 C19 C23">
      <formula1>$P$2:$P$4</formula1>
    </dataValidation>
    <dataValidation type="list" allowBlank="1" showInputMessage="1" showErrorMessage="1" sqref="C28">
      <formula1>$O$31:$O$33</formula1>
    </dataValidation>
    <dataValidation type="list" allowBlank="1" showInputMessage="1" showErrorMessage="1" sqref="C31">
      <formula1>$O$34:$O$36</formula1>
    </dataValidation>
    <dataValidation type="list" allowBlank="1" showInputMessage="1" showErrorMessage="1" sqref="F8">
      <formula1>$N$3:$N$6</formula1>
    </dataValidation>
    <dataValidation type="list" allowBlank="1" showInputMessage="1" showErrorMessage="1" sqref="F10:I10">
      <formula1>$P$7:$P$12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Kohoutová</dc:creator>
  <cp:keywords/>
  <dc:description/>
  <cp:lastModifiedBy>Petr Hájek</cp:lastModifiedBy>
  <cp:lastPrinted>2014-03-21T09:43:15Z</cp:lastPrinted>
  <dcterms:created xsi:type="dcterms:W3CDTF">2013-07-22T07:23:53Z</dcterms:created>
  <dcterms:modified xsi:type="dcterms:W3CDTF">2018-06-04T07:26:41Z</dcterms:modified>
  <cp:category/>
  <cp:version/>
  <cp:contentType/>
  <cp:contentStatus/>
</cp:coreProperties>
</file>